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CECPA\PARETE\Pomme 2023\06. Analyse\"/>
    </mc:Choice>
  </mc:AlternateContent>
  <xr:revisionPtr revIDLastSave="0" documentId="13_ncr:1_{7AB624B9-914B-407E-AAA8-1B219C0C7619}" xr6:coauthVersionLast="47" xr6:coauthVersionMax="47" xr10:uidLastSave="{00000000-0000-0000-0000-000000000000}"/>
  <bookViews>
    <workbookView xWindow="28680" yWindow="-120" windowWidth="29040" windowHeight="16440" xr2:uid="{EC1C0D65-5A0D-4149-AE79-6A64862B588E}"/>
  </bookViews>
  <sheets>
    <sheet name="Tablea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46" i="1"/>
  <c r="F33" i="1" s="1"/>
  <c r="Q16" i="1"/>
  <c r="F81" i="1"/>
  <c r="F80" i="1"/>
  <c r="O38" i="1"/>
  <c r="O37" i="1"/>
  <c r="O36" i="1"/>
  <c r="O35" i="1"/>
  <c r="O34" i="1"/>
  <c r="O33" i="1"/>
  <c r="O32" i="1"/>
  <c r="O31" i="1"/>
  <c r="O30" i="1"/>
  <c r="O29" i="1"/>
  <c r="O28" i="1"/>
  <c r="O24" i="1"/>
  <c r="O44" i="1" s="1"/>
  <c r="O22" i="1"/>
  <c r="O16" i="1"/>
  <c r="O12" i="1"/>
  <c r="F75" i="1" s="1"/>
  <c r="E10" i="1"/>
  <c r="C10" i="1" s="1"/>
  <c r="E9" i="1"/>
  <c r="C9" i="1" s="1"/>
  <c r="C8" i="1"/>
  <c r="G7" i="1"/>
  <c r="G76" i="1" s="1"/>
  <c r="F5" i="1"/>
  <c r="O40" i="1" l="1"/>
  <c r="F29" i="1"/>
  <c r="F32" i="1"/>
  <c r="F31" i="1"/>
  <c r="F28" i="1"/>
  <c r="F34" i="1"/>
  <c r="F30" i="1"/>
  <c r="F53" i="1"/>
  <c r="F54" i="1"/>
  <c r="F50" i="1"/>
  <c r="F52" i="1"/>
  <c r="F48" i="1"/>
  <c r="F51" i="1"/>
  <c r="F49" i="1"/>
  <c r="G18" i="1"/>
  <c r="G53" i="1"/>
  <c r="G75" i="1"/>
  <c r="G9" i="1"/>
  <c r="G50" i="1"/>
  <c r="F79" i="1"/>
  <c r="G80" i="1"/>
  <c r="G5" i="1"/>
  <c r="G51" i="1"/>
  <c r="G29" i="1"/>
  <c r="G32" i="1"/>
  <c r="G49" i="1"/>
  <c r="F78" i="1"/>
  <c r="G79" i="1"/>
  <c r="G28" i="1"/>
  <c r="G33" i="1"/>
  <c r="F20" i="1"/>
  <c r="F38" i="1"/>
  <c r="F39" i="1"/>
  <c r="F40" i="1"/>
  <c r="F41" i="1"/>
  <c r="G48" i="1"/>
  <c r="F77" i="1"/>
  <c r="G78" i="1"/>
  <c r="H7" i="1"/>
  <c r="E11" i="1"/>
  <c r="G52" i="1"/>
  <c r="G81" i="1"/>
  <c r="G30" i="1"/>
  <c r="F19" i="1"/>
  <c r="G20" i="1"/>
  <c r="G38" i="1"/>
  <c r="G39" i="1"/>
  <c r="G40" i="1"/>
  <c r="G41" i="1"/>
  <c r="F76" i="1"/>
  <c r="G77" i="1"/>
  <c r="G31" i="1"/>
  <c r="G34" i="1"/>
  <c r="F18" i="1"/>
  <c r="G19" i="1"/>
  <c r="G54" i="1"/>
  <c r="G68" i="1" l="1"/>
  <c r="F59" i="1"/>
  <c r="J57" i="1"/>
  <c r="L57" i="1"/>
  <c r="G60" i="1"/>
  <c r="L63" i="1"/>
  <c r="H57" i="1"/>
  <c r="H61" i="1"/>
  <c r="I57" i="1"/>
  <c r="I58" i="1"/>
  <c r="F57" i="1"/>
  <c r="F62" i="1"/>
  <c r="L62" i="1"/>
  <c r="J59" i="1"/>
  <c r="H62" i="1"/>
  <c r="I59" i="1"/>
  <c r="F58" i="1"/>
  <c r="G10" i="1"/>
  <c r="I63" i="1"/>
  <c r="I62" i="1"/>
  <c r="G8" i="1"/>
  <c r="J63" i="1"/>
  <c r="I61" i="1"/>
  <c r="G58" i="1"/>
  <c r="G67" i="1" s="1"/>
  <c r="L59" i="1"/>
  <c r="J58" i="1"/>
  <c r="K60" i="1"/>
  <c r="F8" i="1"/>
  <c r="G59" i="1"/>
  <c r="K61" i="1"/>
  <c r="H60" i="1"/>
  <c r="F10" i="1"/>
  <c r="L60" i="1"/>
  <c r="K59" i="1"/>
  <c r="J62" i="1"/>
  <c r="H59" i="1"/>
  <c r="G61" i="1"/>
  <c r="K58" i="1"/>
  <c r="L61" i="1"/>
  <c r="K62" i="1"/>
  <c r="K57" i="1"/>
  <c r="J60" i="1"/>
  <c r="G66" i="1"/>
  <c r="G62" i="1"/>
  <c r="F61" i="1"/>
  <c r="K63" i="1"/>
  <c r="I60" i="1"/>
  <c r="G57" i="1"/>
  <c r="H63" i="1"/>
  <c r="F63" i="1"/>
  <c r="G69" i="1"/>
  <c r="F60" i="1"/>
  <c r="L58" i="1"/>
  <c r="G63" i="1"/>
  <c r="J61" i="1"/>
  <c r="H58" i="1"/>
  <c r="O45" i="1"/>
  <c r="F9" i="1"/>
  <c r="F69" i="1"/>
  <c r="F68" i="1"/>
  <c r="E12" i="1"/>
  <c r="F11" i="1"/>
  <c r="C11" i="1"/>
  <c r="F67" i="1"/>
  <c r="G11" i="1"/>
  <c r="F21" i="1"/>
  <c r="H77" i="1"/>
  <c r="H41" i="1"/>
  <c r="H40" i="1"/>
  <c r="H68" i="1" s="1"/>
  <c r="H39" i="1"/>
  <c r="H67" i="1" s="1"/>
  <c r="H38" i="1"/>
  <c r="H20" i="1"/>
  <c r="H11" i="1"/>
  <c r="H78" i="1"/>
  <c r="H48" i="1"/>
  <c r="H21" i="1"/>
  <c r="H12" i="1"/>
  <c r="H10" i="1"/>
  <c r="H9" i="1"/>
  <c r="H79" i="1"/>
  <c r="H49" i="1"/>
  <c r="H22" i="1"/>
  <c r="H29" i="1"/>
  <c r="H5" i="1"/>
  <c r="H8" i="1"/>
  <c r="H76" i="1"/>
  <c r="H80" i="1"/>
  <c r="H50" i="1"/>
  <c r="H34" i="1"/>
  <c r="H33" i="1"/>
  <c r="H32" i="1"/>
  <c r="H31" i="1"/>
  <c r="H30" i="1"/>
  <c r="H28" i="1"/>
  <c r="H51" i="1"/>
  <c r="H75" i="1"/>
  <c r="H54" i="1"/>
  <c r="H81" i="1"/>
  <c r="H52" i="1"/>
  <c r="I7" i="1"/>
  <c r="H53" i="1"/>
  <c r="H18" i="1"/>
  <c r="H19" i="1"/>
  <c r="F66" i="1"/>
  <c r="G21" i="1"/>
  <c r="H66" i="1" l="1"/>
  <c r="I78" i="1"/>
  <c r="I48" i="1"/>
  <c r="I42" i="1"/>
  <c r="I21" i="1"/>
  <c r="I12" i="1"/>
  <c r="J7" i="1"/>
  <c r="I53" i="1"/>
  <c r="I8" i="1"/>
  <c r="I77" i="1"/>
  <c r="I40" i="1"/>
  <c r="I79" i="1"/>
  <c r="I49" i="1"/>
  <c r="I23" i="1"/>
  <c r="I22" i="1"/>
  <c r="I80" i="1"/>
  <c r="I50" i="1"/>
  <c r="I34" i="1"/>
  <c r="I33" i="1"/>
  <c r="I32" i="1"/>
  <c r="I31" i="1"/>
  <c r="I30" i="1"/>
  <c r="I29" i="1"/>
  <c r="I28" i="1"/>
  <c r="I11" i="1"/>
  <c r="I10" i="1"/>
  <c r="I5" i="1"/>
  <c r="I76" i="1"/>
  <c r="I81" i="1"/>
  <c r="I51" i="1"/>
  <c r="I9" i="1"/>
  <c r="I54" i="1"/>
  <c r="I19" i="1"/>
  <c r="I52" i="1"/>
  <c r="I75" i="1"/>
  <c r="I18" i="1"/>
  <c r="I41" i="1"/>
  <c r="I69" i="1" s="1"/>
  <c r="I38" i="1"/>
  <c r="I66" i="1" s="1"/>
  <c r="I20" i="1"/>
  <c r="I39" i="1"/>
  <c r="I67" i="1" s="1"/>
  <c r="E13" i="1"/>
  <c r="C12" i="1"/>
  <c r="G12" i="1"/>
  <c r="F12" i="1"/>
  <c r="G22" i="1"/>
  <c r="F22" i="1"/>
  <c r="F42" i="1"/>
  <c r="F70" i="1" s="1"/>
  <c r="G42" i="1"/>
  <c r="G70" i="1" s="1"/>
  <c r="H42" i="1"/>
  <c r="H70" i="1" s="1"/>
  <c r="H69" i="1"/>
  <c r="J79" i="1" l="1"/>
  <c r="J49" i="1"/>
  <c r="J43" i="1"/>
  <c r="J71" i="1" s="1"/>
  <c r="J23" i="1"/>
  <c r="J22" i="1"/>
  <c r="K7" i="1"/>
  <c r="J19" i="1"/>
  <c r="J77" i="1"/>
  <c r="J40" i="1"/>
  <c r="J20" i="1"/>
  <c r="J48" i="1"/>
  <c r="J80" i="1"/>
  <c r="J50" i="1"/>
  <c r="J34" i="1"/>
  <c r="J33" i="1"/>
  <c r="J32" i="1"/>
  <c r="J31" i="1"/>
  <c r="J30" i="1"/>
  <c r="J29" i="1"/>
  <c r="J28" i="1"/>
  <c r="J11" i="1"/>
  <c r="J9" i="1"/>
  <c r="J18" i="1"/>
  <c r="J8" i="1"/>
  <c r="J54" i="1"/>
  <c r="J39" i="1"/>
  <c r="J67" i="1" s="1"/>
  <c r="J78" i="1"/>
  <c r="J81" i="1"/>
  <c r="J51" i="1"/>
  <c r="J10" i="1"/>
  <c r="J5" i="1"/>
  <c r="J53" i="1"/>
  <c r="J52" i="1"/>
  <c r="J76" i="1"/>
  <c r="J13" i="1"/>
  <c r="J41" i="1"/>
  <c r="J69" i="1" s="1"/>
  <c r="J75" i="1"/>
  <c r="J38" i="1"/>
  <c r="J21" i="1"/>
  <c r="J12" i="1"/>
  <c r="J42" i="1"/>
  <c r="J70" i="1" s="1"/>
  <c r="I70" i="1"/>
  <c r="E14" i="1"/>
  <c r="J14" i="1" s="1"/>
  <c r="C13" i="1"/>
  <c r="G43" i="1"/>
  <c r="G71" i="1" s="1"/>
  <c r="F43" i="1"/>
  <c r="F71" i="1" s="1"/>
  <c r="F13" i="1"/>
  <c r="G23" i="1"/>
  <c r="G13" i="1"/>
  <c r="F23" i="1"/>
  <c r="H13" i="1"/>
  <c r="H43" i="1"/>
  <c r="H71" i="1" s="1"/>
  <c r="H23" i="1"/>
  <c r="I13" i="1"/>
  <c r="I43" i="1"/>
  <c r="I71" i="1" s="1"/>
  <c r="I68" i="1"/>
  <c r="J24" i="1" l="1"/>
  <c r="J44" i="1"/>
  <c r="J72" i="1" s="1"/>
  <c r="K80" i="1"/>
  <c r="K50" i="1"/>
  <c r="K44" i="1"/>
  <c r="K72" i="1" s="1"/>
  <c r="K34" i="1"/>
  <c r="K33" i="1"/>
  <c r="K32" i="1"/>
  <c r="K31" i="1"/>
  <c r="K30" i="1"/>
  <c r="K29" i="1"/>
  <c r="K28" i="1"/>
  <c r="K24" i="1"/>
  <c r="K11" i="1"/>
  <c r="K19" i="1"/>
  <c r="K38" i="1"/>
  <c r="K66" i="1" s="1"/>
  <c r="K48" i="1"/>
  <c r="K81" i="1"/>
  <c r="K51" i="1"/>
  <c r="K10" i="1"/>
  <c r="K5" i="1"/>
  <c r="K54" i="1"/>
  <c r="K40" i="1"/>
  <c r="K68" i="1" s="1"/>
  <c r="K78" i="1"/>
  <c r="K52" i="1"/>
  <c r="K9" i="1"/>
  <c r="L7" i="1"/>
  <c r="K14" i="1"/>
  <c r="K77" i="1"/>
  <c r="K41" i="1"/>
  <c r="K69" i="1" s="1"/>
  <c r="K75" i="1"/>
  <c r="K53" i="1"/>
  <c r="K18" i="1"/>
  <c r="K8" i="1"/>
  <c r="K13" i="1"/>
  <c r="K39" i="1"/>
  <c r="K20" i="1"/>
  <c r="K49" i="1"/>
  <c r="K43" i="1"/>
  <c r="K76" i="1"/>
  <c r="K42" i="1"/>
  <c r="K70" i="1" s="1"/>
  <c r="K21" i="1"/>
  <c r="K12" i="1"/>
  <c r="K79" i="1"/>
  <c r="K23" i="1"/>
  <c r="K22" i="1"/>
  <c r="F24" i="1"/>
  <c r="C14" i="1"/>
  <c r="F44" i="1"/>
  <c r="F72" i="1" s="1"/>
  <c r="G44" i="1"/>
  <c r="G72" i="1" s="1"/>
  <c r="G24" i="1"/>
  <c r="G14" i="1"/>
  <c r="F14" i="1"/>
  <c r="H24" i="1"/>
  <c r="H44" i="1"/>
  <c r="H72" i="1" s="1"/>
  <c r="H14" i="1"/>
  <c r="I14" i="1"/>
  <c r="I44" i="1"/>
  <c r="I72" i="1" s="1"/>
  <c r="I24" i="1"/>
  <c r="J66" i="1"/>
  <c r="J68" i="1"/>
  <c r="K71" i="1" l="1"/>
  <c r="K67" i="1"/>
  <c r="L81" i="1"/>
  <c r="L51" i="1"/>
  <c r="L10" i="1"/>
  <c r="L5" i="1"/>
  <c r="L41" i="1"/>
  <c r="L69" i="1" s="1"/>
  <c r="L12" i="1"/>
  <c r="L34" i="1"/>
  <c r="L32" i="1"/>
  <c r="L30" i="1"/>
  <c r="L52" i="1"/>
  <c r="L9" i="1"/>
  <c r="L13" i="1"/>
  <c r="L43" i="1"/>
  <c r="L71" i="1" s="1"/>
  <c r="L23" i="1"/>
  <c r="L75" i="1"/>
  <c r="L53" i="1"/>
  <c r="L18" i="1"/>
  <c r="L14" i="1"/>
  <c r="L8" i="1"/>
  <c r="L19" i="1"/>
  <c r="L39" i="1"/>
  <c r="L67" i="1" s="1"/>
  <c r="L48" i="1"/>
  <c r="L21" i="1"/>
  <c r="L76" i="1"/>
  <c r="L54" i="1"/>
  <c r="L40" i="1"/>
  <c r="L38" i="1"/>
  <c r="L20" i="1"/>
  <c r="L78" i="1"/>
  <c r="L42" i="1"/>
  <c r="L70" i="1" s="1"/>
  <c r="L79" i="1"/>
  <c r="L22" i="1"/>
  <c r="L80" i="1"/>
  <c r="L77" i="1"/>
  <c r="L49" i="1"/>
  <c r="L44" i="1"/>
  <c r="L72" i="1" s="1"/>
  <c r="L33" i="1"/>
  <c r="L31" i="1"/>
  <c r="L29" i="1"/>
  <c r="L24" i="1"/>
  <c r="L11" i="1"/>
  <c r="L28" i="1"/>
  <c r="L50" i="1"/>
  <c r="L66" i="1" l="1"/>
  <c r="L68" i="1"/>
</calcChain>
</file>

<file path=xl/sharedStrings.xml><?xml version="1.0" encoding="utf-8"?>
<sst xmlns="http://schemas.openxmlformats.org/spreadsheetml/2006/main" count="84" uniqueCount="57">
  <si>
    <t>Explications</t>
  </si>
  <si>
    <t>Pour les $/kg, c'est une information de Jérôme-Antoine. On pourrait enlever la première et la dernière si le tableau est trop gros.</t>
  </si>
  <si>
    <t>Pour les rendements, c'est un arrondissement du 10e et 90e percentile des rendements en minot/ha productif.</t>
  </si>
  <si>
    <t>Minot /ha</t>
  </si>
  <si>
    <t>Les charges calculées par minot sont considérées comme variables alors que les charges à l'hectare sont considérées comme fixes.</t>
  </si>
  <si>
    <t>Tonnes/ha</t>
  </si>
  <si>
    <t>Pour les charges de main-d'œuvre additionnelle, 50% est considéré comme variable et 50% comme fixe.</t>
  </si>
  <si>
    <t>À noter que les charges par hectare sont rapportées par hectare productif.</t>
  </si>
  <si>
    <t>$/minot</t>
  </si>
  <si>
    <t>$/kg</t>
  </si>
  <si>
    <t>Entreprise type</t>
  </si>
  <si>
    <t>Valeur</t>
  </si>
  <si>
    <t>Source</t>
  </si>
  <si>
    <t>Minot Qt</t>
  </si>
  <si>
    <t>Rapport</t>
  </si>
  <si>
    <t>Minot Ql</t>
  </si>
  <si>
    <t>Classement Ql</t>
  </si>
  <si>
    <t>Sup (ha)</t>
  </si>
  <si>
    <t>Sup prod.</t>
  </si>
  <si>
    <t>CDP</t>
  </si>
  <si>
    <t>Rdt / ha prod</t>
  </si>
  <si>
    <t>Calcul</t>
  </si>
  <si>
    <t>Revenus frais</t>
  </si>
  <si>
    <t>Donc variable au minot</t>
  </si>
  <si>
    <t>Électricité</t>
  </si>
  <si>
    <t>Frais d'entreposage</t>
  </si>
  <si>
    <t>Plan conjoint et transporte vente</t>
  </si>
  <si>
    <t>Main-d'oeuvre additionnelle (50%)</t>
  </si>
  <si>
    <t>Rémunération expl./minot</t>
  </si>
  <si>
    <t>Rapport et calcul</t>
  </si>
  <si>
    <t>CV partielle/minot</t>
  </si>
  <si>
    <t>Revenus transfo</t>
  </si>
  <si>
    <t>$/ha productif</t>
  </si>
  <si>
    <t>Donc fixe à ha prod</t>
  </si>
  <si>
    <t>Remplacement de pommiers et entretien de fond de terre</t>
  </si>
  <si>
    <t>Fertilisants et amendements</t>
  </si>
  <si>
    <t>Pesticides</t>
  </si>
  <si>
    <t>Ent. et rép. machinerie et équipements</t>
  </si>
  <si>
    <t>Carburants</t>
  </si>
  <si>
    <t>Travaux à forfait et location</t>
  </si>
  <si>
    <t>Intérêts sur emprunt à court terme</t>
  </si>
  <si>
    <t>Contribution aux autres programmes FADQ</t>
  </si>
  <si>
    <t>Revenus totaux</t>
  </si>
  <si>
    <t>Frais fixes</t>
  </si>
  <si>
    <t>Amortissement</t>
  </si>
  <si>
    <t>-Sous-produit</t>
  </si>
  <si>
    <t>CF/haprod</t>
  </si>
  <si>
    <t>Conversion minot -&gt; kg</t>
  </si>
  <si>
    <t>CV/kg</t>
  </si>
  <si>
    <t>CF/ha prod</t>
  </si>
  <si>
    <t>Prix transformation ($/kg)</t>
  </si>
  <si>
    <t>CV ($/ha prod)</t>
  </si>
  <si>
    <t>CF ($/ha prod)</t>
  </si>
  <si>
    <t>Marge CV</t>
  </si>
  <si>
    <t>Qt Frais minot</t>
  </si>
  <si>
    <t>Table de sensibilité de la marge d'exploitation avec certaines charges variables aux minots, en dollar par hectare productif</t>
  </si>
  <si>
    <t>La marge d'exploitation présentée inclut les charges variables, les charges fixes ainsi que la rémunération des exploitants et les amortissements. La marge exclut la rémunération de l'avoir.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</si>
</sst>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_ * #,##0.0_)_ ;_ * \(#,##0.0\)_ ;_ * &quot;-&quot;??_)_ ;_ @_ "/>
    <numFmt numFmtId="165" formatCode="_ * #,##0_)_ ;_ * \(#,##0\)_ ;_ * &quot;-&quot;??_)_ ;_ @_ "/>
    <numFmt numFmtId="166" formatCode="_ * #,##0.00_)\ _$_ ;_ * \(#,##0.00\)\ _$_ ;_ * &quot;-&quot;??_)\ _$_ ;_ @_ "/>
    <numFmt numFmtId="167" formatCode="_ * #,##0.0_)\ _$_ ;_ * \(#,##0.0\)\ _$_ ;_ * &quot;-&quot;?_)\ _$_ ;_ @_ "/>
  </numFmts>
  <fonts count="5" x14ac:knownFonts="1">
    <font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FFFF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14591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2"/>
      </bottom>
      <diagonal/>
    </border>
    <border>
      <left style="thin">
        <color indexed="64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>
      <alignment horizontal="right" vertical="center" wrapText="1"/>
    </xf>
  </cellStyleXfs>
  <cellXfs count="34">
    <xf numFmtId="0" fontId="0" fillId="0" borderId="0" xfId="0"/>
    <xf numFmtId="164" fontId="0" fillId="0" borderId="0" xfId="1" applyNumberFormat="1" applyFont="1"/>
    <xf numFmtId="0" fontId="0" fillId="0" borderId="1" xfId="0" applyBorder="1"/>
    <xf numFmtId="165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3" fillId="2" borderId="0" xfId="1" applyNumberFormat="1" applyFont="1" applyFill="1"/>
    <xf numFmtId="0" fontId="0" fillId="2" borderId="0" xfId="0" applyFill="1"/>
    <xf numFmtId="0" fontId="3" fillId="2" borderId="0" xfId="0" applyFont="1" applyFill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4" borderId="3" xfId="1" applyNumberFormat="1" applyFont="1" applyFill="1" applyBorder="1"/>
    <xf numFmtId="43" fontId="0" fillId="0" borderId="4" xfId="1" applyFont="1" applyBorder="1"/>
    <xf numFmtId="165" fontId="0" fillId="4" borderId="0" xfId="1" applyNumberFormat="1" applyFont="1" applyFill="1"/>
    <xf numFmtId="43" fontId="0" fillId="0" borderId="4" xfId="1" applyFont="1" applyBorder="1" applyAlignment="1">
      <alignment horizontal="left" indent="1"/>
    </xf>
    <xf numFmtId="0" fontId="0" fillId="0" borderId="3" xfId="0" applyBorder="1"/>
    <xf numFmtId="43" fontId="0" fillId="0" borderId="0" xfId="1" applyFont="1"/>
    <xf numFmtId="165" fontId="0" fillId="5" borderId="0" xfId="1" applyNumberFormat="1" applyFont="1" applyFill="1"/>
    <xf numFmtId="43" fontId="0" fillId="4" borderId="4" xfId="1" applyFont="1" applyFill="1" applyBorder="1" applyAlignment="1">
      <alignment horizontal="left" indent="1"/>
    </xf>
    <xf numFmtId="43" fontId="0" fillId="0" borderId="5" xfId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5" borderId="7" xfId="1" applyNumberFormat="1" applyFont="1" applyFill="1" applyBorder="1"/>
    <xf numFmtId="0" fontId="2" fillId="0" borderId="8" xfId="0" applyFont="1" applyBorder="1"/>
    <xf numFmtId="43" fontId="2" fillId="0" borderId="8" xfId="1" applyFont="1" applyBorder="1"/>
    <xf numFmtId="0" fontId="0" fillId="0" borderId="0" xfId="0" quotePrefix="1"/>
    <xf numFmtId="165" fontId="2" fillId="0" borderId="8" xfId="0" applyNumberFormat="1" applyFont="1" applyBorder="1"/>
    <xf numFmtId="43" fontId="0" fillId="0" borderId="0" xfId="0" applyNumberFormat="1"/>
    <xf numFmtId="166" fontId="0" fillId="0" borderId="0" xfId="0" applyNumberFormat="1"/>
    <xf numFmtId="43" fontId="2" fillId="0" borderId="0" xfId="0" applyNumberFormat="1" applyFont="1"/>
    <xf numFmtId="167" fontId="0" fillId="0" borderId="0" xfId="0" applyNumberFormat="1"/>
    <xf numFmtId="0" fontId="4" fillId="3" borderId="0" xfId="2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textRotation="90"/>
    </xf>
    <xf numFmtId="165" fontId="3" fillId="2" borderId="0" xfId="1" applyNumberFormat="1" applyFont="1" applyFill="1" applyAlignment="1">
      <alignment horizontal="center" vertical="center" textRotation="90"/>
    </xf>
  </cellXfs>
  <cellStyles count="3">
    <cellStyle name="Milliers" xfId="1" builtinId="3"/>
    <cellStyle name="Nom_colonne_gras" xfId="2" xr:uid="{56796642-2C2B-4D94-92F0-233397AF43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_2024_05_10">
  <a:themeElements>
    <a:clrScheme name="CECPA">
      <a:dk1>
        <a:srgbClr val="000000"/>
      </a:dk1>
      <a:lt1>
        <a:srgbClr val="FFFFFF"/>
      </a:lt1>
      <a:dk2>
        <a:srgbClr val="000000"/>
      </a:dk2>
      <a:lt2>
        <a:srgbClr val="AAAAAA"/>
      </a:lt2>
      <a:accent1>
        <a:srgbClr val="37B44B"/>
      </a:accent1>
      <a:accent2>
        <a:srgbClr val="14591F"/>
      </a:accent2>
      <a:accent3>
        <a:srgbClr val="CFF744"/>
      </a:accent3>
      <a:accent4>
        <a:srgbClr val="37B0B4"/>
      </a:accent4>
      <a:accent5>
        <a:srgbClr val="074C49"/>
      </a:accent5>
      <a:accent6>
        <a:srgbClr val="3CE1B0"/>
      </a:accent6>
      <a:hlink>
        <a:srgbClr val="37B44B"/>
      </a:hlink>
      <a:folHlink>
        <a:srgbClr val="37B44B"/>
      </a:folHlink>
    </a:clrScheme>
    <a:fontScheme name="Personnalisé 1">
      <a:majorFont>
        <a:latin typeface="DM Sans"/>
        <a:ea typeface=""/>
        <a:cs typeface=""/>
      </a:majorFont>
      <a:minorFont>
        <a:latin typeface="Aptos Narrow"/>
        <a:ea typeface=""/>
        <a:cs typeface=""/>
      </a:minorFont>
    </a:fontScheme>
    <a:fmtScheme name="CECP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CPA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D63D-0386-4276-9B0B-31BEB742FF52}">
  <dimension ref="A1:Q82"/>
  <sheetViews>
    <sheetView showGridLines="0" tabSelected="1" zoomScale="130" zoomScaleNormal="130" workbookViewId="0">
      <selection activeCell="N6" sqref="N6"/>
    </sheetView>
  </sheetViews>
  <sheetFormatPr baseColWidth="10" defaultRowHeight="12" x14ac:dyDescent="0.2"/>
  <cols>
    <col min="1" max="1" width="9.6640625" customWidth="1"/>
    <col min="2" max="2" width="3.83203125" customWidth="1"/>
    <col min="3" max="3" width="5.83203125" customWidth="1"/>
    <col min="4" max="4" width="4" customWidth="1"/>
    <col min="5" max="5" width="9" customWidth="1"/>
    <col min="6" max="12" width="10.83203125" customWidth="1"/>
    <col min="14" max="14" width="49.1640625" customWidth="1"/>
    <col min="15" max="15" width="19" customWidth="1"/>
  </cols>
  <sheetData>
    <row r="1" spans="1:17" x14ac:dyDescent="0.2">
      <c r="F1">
        <v>5</v>
      </c>
      <c r="I1" s="1"/>
      <c r="N1" s="2" t="s">
        <v>0</v>
      </c>
    </row>
    <row r="2" spans="1:17" x14ac:dyDescent="0.2">
      <c r="N2" t="s">
        <v>1</v>
      </c>
    </row>
    <row r="3" spans="1:17" x14ac:dyDescent="0.2">
      <c r="I3" s="3"/>
      <c r="N3" t="s">
        <v>2</v>
      </c>
    </row>
    <row r="4" spans="1:17" x14ac:dyDescent="0.2">
      <c r="B4" s="4" t="s">
        <v>55</v>
      </c>
      <c r="D4" s="4"/>
      <c r="N4" t="s">
        <v>56</v>
      </c>
    </row>
    <row r="5" spans="1:17" x14ac:dyDescent="0.2">
      <c r="A5" s="5"/>
      <c r="B5" s="5"/>
      <c r="C5" s="5"/>
      <c r="D5" s="5"/>
      <c r="E5" s="5" t="s">
        <v>3</v>
      </c>
      <c r="F5" s="5">
        <f t="shared" ref="F5:L5" si="0">F7/$O$43*1000</f>
        <v>1049.8026371042245</v>
      </c>
      <c r="G5" s="5">
        <f t="shared" si="0"/>
        <v>1312.2532963802805</v>
      </c>
      <c r="H5" s="5">
        <f t="shared" si="0"/>
        <v>1574.7039556563366</v>
      </c>
      <c r="I5" s="5">
        <f t="shared" si="0"/>
        <v>1837.1546149323924</v>
      </c>
      <c r="J5" s="5">
        <f t="shared" si="0"/>
        <v>2099.6052742084489</v>
      </c>
      <c r="K5" s="5">
        <f t="shared" si="0"/>
        <v>2362.0559334845047</v>
      </c>
      <c r="L5" s="5">
        <f t="shared" si="0"/>
        <v>2624.506592760561</v>
      </c>
      <c r="N5" t="s">
        <v>4</v>
      </c>
    </row>
    <row r="6" spans="1:17" x14ac:dyDescent="0.2">
      <c r="A6" s="5"/>
      <c r="B6" s="5"/>
      <c r="C6" s="5"/>
      <c r="D6" s="6"/>
      <c r="E6" s="7"/>
      <c r="F6" s="31" t="s">
        <v>5</v>
      </c>
      <c r="G6" s="31"/>
      <c r="H6" s="31"/>
      <c r="I6" s="31"/>
      <c r="J6" s="31"/>
      <c r="K6" s="31"/>
      <c r="L6" s="31"/>
      <c r="N6" t="s">
        <v>6</v>
      </c>
    </row>
    <row r="7" spans="1:17" x14ac:dyDescent="0.2">
      <c r="A7" s="5"/>
      <c r="B7" s="5"/>
      <c r="D7" s="8"/>
      <c r="E7" s="9"/>
      <c r="F7" s="10">
        <v>20</v>
      </c>
      <c r="G7" s="10">
        <f t="shared" ref="G7:L7" si="1">F7+$F$1</f>
        <v>25</v>
      </c>
      <c r="H7" s="10">
        <f t="shared" si="1"/>
        <v>30</v>
      </c>
      <c r="I7" s="11">
        <f t="shared" si="1"/>
        <v>35</v>
      </c>
      <c r="J7" s="10">
        <f t="shared" si="1"/>
        <v>40</v>
      </c>
      <c r="K7" s="10">
        <f t="shared" si="1"/>
        <v>45</v>
      </c>
      <c r="L7" s="10">
        <f t="shared" si="1"/>
        <v>50</v>
      </c>
      <c r="M7" s="5"/>
      <c r="N7" t="s">
        <v>7</v>
      </c>
    </row>
    <row r="8" spans="1:17" x14ac:dyDescent="0.2">
      <c r="A8" s="5"/>
      <c r="B8" s="32" t="s">
        <v>8</v>
      </c>
      <c r="C8" s="1">
        <f t="shared" ref="C8:C14" si="2">E8*$O$43</f>
        <v>15.240960000000001</v>
      </c>
      <c r="D8" s="33" t="s">
        <v>9</v>
      </c>
      <c r="E8" s="12">
        <v>0.8</v>
      </c>
      <c r="F8" s="5">
        <f t="shared" ref="F8:L14" si="3">((F$7*1000)*$O$12*$E8)+
 ((F$7*1000)*(1-$O$12)*$O$46)
-((F$7*1000)*$O$44)
-$O$40</f>
        <v>-10525.162487919621</v>
      </c>
      <c r="G8" s="5">
        <f t="shared" si="3"/>
        <v>-9460.7639207103366</v>
      </c>
      <c r="H8" s="5">
        <f t="shared" si="3"/>
        <v>-8396.3653535010526</v>
      </c>
      <c r="I8" s="13">
        <f t="shared" si="3"/>
        <v>-7331.9667862917686</v>
      </c>
      <c r="J8" s="5">
        <f t="shared" si="3"/>
        <v>-6267.5682190824864</v>
      </c>
      <c r="K8" s="5">
        <f t="shared" si="3"/>
        <v>-5203.1696518732006</v>
      </c>
      <c r="L8" s="5">
        <f t="shared" si="3"/>
        <v>-4138.7710846639166</v>
      </c>
      <c r="M8" s="5"/>
    </row>
    <row r="9" spans="1:17" x14ac:dyDescent="0.2">
      <c r="A9" s="5"/>
      <c r="B9" s="32"/>
      <c r="C9" s="1">
        <f t="shared" si="2"/>
        <v>17.146080000000001</v>
      </c>
      <c r="D9" s="33"/>
      <c r="E9" s="14">
        <f>E8+$A$10</f>
        <v>0.9</v>
      </c>
      <c r="F9" s="5">
        <f t="shared" si="3"/>
        <v>-9482.3859573692898</v>
      </c>
      <c r="G9" s="5">
        <f t="shared" si="3"/>
        <v>-8157.293257522424</v>
      </c>
      <c r="H9" s="5">
        <f t="shared" si="3"/>
        <v>-6832.2005576755582</v>
      </c>
      <c r="I9" s="13">
        <f t="shared" si="3"/>
        <v>-5507.1078578286924</v>
      </c>
      <c r="J9" s="5">
        <f t="shared" si="3"/>
        <v>-4182.0151579818248</v>
      </c>
      <c r="K9" s="5">
        <f t="shared" si="3"/>
        <v>-2856.9224581349572</v>
      </c>
      <c r="L9" s="5">
        <f t="shared" si="3"/>
        <v>-1531.8297582880914</v>
      </c>
      <c r="M9" s="5"/>
      <c r="N9" s="15" t="s">
        <v>10</v>
      </c>
      <c r="O9" s="15" t="s">
        <v>11</v>
      </c>
      <c r="P9" s="15" t="s">
        <v>12</v>
      </c>
    </row>
    <row r="10" spans="1:17" x14ac:dyDescent="0.2">
      <c r="A10" s="16">
        <v>0.1</v>
      </c>
      <c r="B10" s="32"/>
      <c r="C10" s="1">
        <f t="shared" si="2"/>
        <v>19.051200000000001</v>
      </c>
      <c r="D10" s="33"/>
      <c r="E10" s="14">
        <f t="shared" ref="E10:E14" si="4">E9+$A$10</f>
        <v>1</v>
      </c>
      <c r="F10" s="5">
        <f t="shared" si="3"/>
        <v>-8439.609426818959</v>
      </c>
      <c r="G10" s="5">
        <f t="shared" si="3"/>
        <v>-6853.8225943345133</v>
      </c>
      <c r="H10" s="5">
        <f t="shared" si="3"/>
        <v>-5268.0357618500639</v>
      </c>
      <c r="I10" s="13">
        <f t="shared" si="3"/>
        <v>-3682.2489293656126</v>
      </c>
      <c r="J10" s="5">
        <f t="shared" si="3"/>
        <v>-2096.4620968811632</v>
      </c>
      <c r="K10" s="5">
        <f t="shared" si="3"/>
        <v>-510.67526439671383</v>
      </c>
      <c r="L10" s="17">
        <f t="shared" si="3"/>
        <v>1075.1115680877301</v>
      </c>
      <c r="M10" s="5"/>
      <c r="N10" t="s">
        <v>13</v>
      </c>
      <c r="O10" s="5">
        <v>32962</v>
      </c>
      <c r="P10" t="s">
        <v>14</v>
      </c>
    </row>
    <row r="11" spans="1:17" x14ac:dyDescent="0.2">
      <c r="A11" s="5"/>
      <c r="B11" s="32"/>
      <c r="C11" s="1">
        <f t="shared" si="2"/>
        <v>20.956320000000002</v>
      </c>
      <c r="D11" s="33"/>
      <c r="E11" s="14">
        <f t="shared" si="4"/>
        <v>1.1000000000000001</v>
      </c>
      <c r="F11" s="5">
        <f t="shared" si="3"/>
        <v>-7396.8328962686273</v>
      </c>
      <c r="G11" s="5">
        <f t="shared" si="3"/>
        <v>-5550.3519311465971</v>
      </c>
      <c r="H11" s="5">
        <f t="shared" si="3"/>
        <v>-3703.8709660245659</v>
      </c>
      <c r="I11" s="13">
        <f t="shared" si="3"/>
        <v>-1857.3900009025328</v>
      </c>
      <c r="J11" s="5">
        <f t="shared" si="3"/>
        <v>-10.909035780498016</v>
      </c>
      <c r="K11" s="17">
        <f t="shared" si="3"/>
        <v>1835.571929341535</v>
      </c>
      <c r="L11" s="17">
        <f t="shared" si="3"/>
        <v>3682.0528944635626</v>
      </c>
      <c r="M11" s="5"/>
      <c r="N11" t="s">
        <v>15</v>
      </c>
      <c r="O11" s="5">
        <v>17186</v>
      </c>
      <c r="P11" t="s">
        <v>14</v>
      </c>
    </row>
    <row r="12" spans="1:17" x14ac:dyDescent="0.2">
      <c r="A12" s="1"/>
      <c r="B12" s="32"/>
      <c r="C12" s="1">
        <f t="shared" si="2"/>
        <v>22.861440000000005</v>
      </c>
      <c r="D12" s="33"/>
      <c r="E12" s="18">
        <f t="shared" si="4"/>
        <v>1.2000000000000002</v>
      </c>
      <c r="F12" s="13">
        <f t="shared" si="3"/>
        <v>-6354.0563657182975</v>
      </c>
      <c r="G12" s="13">
        <f t="shared" si="3"/>
        <v>-4246.8812679586808</v>
      </c>
      <c r="H12" s="13">
        <f t="shared" si="3"/>
        <v>-2139.7061701990679</v>
      </c>
      <c r="I12" s="13">
        <f t="shared" si="3"/>
        <v>-32.531072439453055</v>
      </c>
      <c r="J12" s="17">
        <f t="shared" si="3"/>
        <v>2074.6440253201617</v>
      </c>
      <c r="K12" s="17">
        <f t="shared" si="3"/>
        <v>4181.8191230797784</v>
      </c>
      <c r="L12" s="17">
        <f t="shared" si="3"/>
        <v>6288.994220839395</v>
      </c>
      <c r="M12" s="5"/>
      <c r="N12" t="s">
        <v>16</v>
      </c>
      <c r="O12" s="16">
        <f>O11/O10</f>
        <v>0.52138826527516535</v>
      </c>
      <c r="P12" t="s">
        <v>14</v>
      </c>
    </row>
    <row r="13" spans="1:17" x14ac:dyDescent="0.2">
      <c r="A13" s="5"/>
      <c r="B13" s="32"/>
      <c r="C13" s="1">
        <f t="shared" si="2"/>
        <v>24.766560000000005</v>
      </c>
      <c r="D13" s="33"/>
      <c r="E13" s="12">
        <f t="shared" si="4"/>
        <v>1.3000000000000003</v>
      </c>
      <c r="F13" s="5">
        <f t="shared" si="3"/>
        <v>-5311.279835167963</v>
      </c>
      <c r="G13" s="5">
        <f t="shared" si="3"/>
        <v>-2943.4106047707646</v>
      </c>
      <c r="H13" s="5">
        <f t="shared" si="3"/>
        <v>-575.54137437356985</v>
      </c>
      <c r="I13" s="17">
        <f t="shared" si="3"/>
        <v>1792.3278560236249</v>
      </c>
      <c r="J13" s="17">
        <f t="shared" si="3"/>
        <v>4160.1970864208306</v>
      </c>
      <c r="K13" s="17">
        <f t="shared" si="3"/>
        <v>6528.0663168180217</v>
      </c>
      <c r="L13" s="17">
        <f t="shared" si="3"/>
        <v>8895.9355472152274</v>
      </c>
      <c r="M13" s="5"/>
      <c r="N13" t="s">
        <v>17</v>
      </c>
      <c r="O13" s="1">
        <v>21</v>
      </c>
      <c r="P13" t="s">
        <v>14</v>
      </c>
    </row>
    <row r="14" spans="1:17" ht="12.75" thickBot="1" x14ac:dyDescent="0.25">
      <c r="A14" s="5"/>
      <c r="B14" s="32"/>
      <c r="C14" s="1">
        <f t="shared" si="2"/>
        <v>26.671680000000009</v>
      </c>
      <c r="D14" s="33"/>
      <c r="E14" s="19">
        <f t="shared" si="4"/>
        <v>1.4000000000000004</v>
      </c>
      <c r="F14" s="20">
        <f t="shared" si="3"/>
        <v>-4268.5033046176322</v>
      </c>
      <c r="G14" s="21">
        <f t="shared" si="3"/>
        <v>-1639.9399415828557</v>
      </c>
      <c r="H14" s="22">
        <f t="shared" si="3"/>
        <v>988.62342145192815</v>
      </c>
      <c r="I14" s="22">
        <f t="shared" si="3"/>
        <v>3617.186784486712</v>
      </c>
      <c r="J14" s="22">
        <f t="shared" si="3"/>
        <v>6245.7501475214922</v>
      </c>
      <c r="K14" s="22">
        <f t="shared" si="3"/>
        <v>8874.3135105562724</v>
      </c>
      <c r="L14" s="22">
        <f t="shared" si="3"/>
        <v>11502.876873591045</v>
      </c>
      <c r="M14" s="5"/>
      <c r="O14" s="1"/>
    </row>
    <row r="15" spans="1:17" x14ac:dyDescent="0.2">
      <c r="E15" s="28"/>
      <c r="M15" s="5"/>
      <c r="N15" t="s">
        <v>18</v>
      </c>
      <c r="O15" s="1">
        <v>18.5</v>
      </c>
      <c r="P15" t="s">
        <v>19</v>
      </c>
    </row>
    <row r="16" spans="1:17" x14ac:dyDescent="0.2">
      <c r="M16" s="5"/>
      <c r="N16" t="s">
        <v>20</v>
      </c>
      <c r="O16" s="5">
        <f>O10/O15</f>
        <v>1781.7297297297298</v>
      </c>
      <c r="P16" t="s">
        <v>21</v>
      </c>
      <c r="Q16">
        <f>O16*O43/1000</f>
        <v>33.944089427027031</v>
      </c>
    </row>
    <row r="17" spans="5:16" x14ac:dyDescent="0.2">
      <c r="E17" t="s">
        <v>22</v>
      </c>
    </row>
    <row r="18" spans="5:16" x14ac:dyDescent="0.2">
      <c r="F18" s="5">
        <f t="shared" ref="F18:L24" si="5">((F$7*1000)*$O$12*$E8)</f>
        <v>8342.2122444026463</v>
      </c>
      <c r="G18" s="5">
        <f t="shared" si="5"/>
        <v>10427.765305503308</v>
      </c>
      <c r="H18" s="5">
        <f t="shared" si="5"/>
        <v>12513.318366603969</v>
      </c>
      <c r="I18" s="13">
        <f t="shared" si="5"/>
        <v>14598.871427704631</v>
      </c>
      <c r="J18" s="5">
        <f t="shared" si="5"/>
        <v>16684.424488805293</v>
      </c>
      <c r="K18" s="5">
        <f t="shared" si="5"/>
        <v>18769.977549905954</v>
      </c>
      <c r="L18" s="5">
        <f t="shared" si="5"/>
        <v>20855.530611006616</v>
      </c>
      <c r="N18" s="4" t="s">
        <v>8</v>
      </c>
      <c r="O18" t="s">
        <v>23</v>
      </c>
    </row>
    <row r="19" spans="5:16" x14ac:dyDescent="0.2">
      <c r="F19" s="5">
        <f t="shared" si="5"/>
        <v>9384.9887749529771</v>
      </c>
      <c r="G19" s="5">
        <f t="shared" si="5"/>
        <v>11731.23596869122</v>
      </c>
      <c r="H19" s="5">
        <f t="shared" si="5"/>
        <v>14077.483162429464</v>
      </c>
      <c r="I19" s="13">
        <f t="shared" si="5"/>
        <v>16423.730356167707</v>
      </c>
      <c r="J19" s="5">
        <f t="shared" si="5"/>
        <v>18769.977549905954</v>
      </c>
      <c r="K19" s="5">
        <f t="shared" si="5"/>
        <v>21116.224743644198</v>
      </c>
      <c r="L19" s="5">
        <f t="shared" si="5"/>
        <v>23462.471937382441</v>
      </c>
      <c r="N19" t="s">
        <v>24</v>
      </c>
      <c r="O19" s="16">
        <v>0.3</v>
      </c>
      <c r="P19" t="s">
        <v>14</v>
      </c>
    </row>
    <row r="20" spans="5:16" x14ac:dyDescent="0.2">
      <c r="F20" s="5">
        <f t="shared" si="5"/>
        <v>10427.765305503308</v>
      </c>
      <c r="G20" s="5">
        <f t="shared" si="5"/>
        <v>13034.706631879133</v>
      </c>
      <c r="H20" s="5">
        <f t="shared" si="5"/>
        <v>15641.64795825496</v>
      </c>
      <c r="I20" s="13">
        <f t="shared" si="5"/>
        <v>18248.589284630787</v>
      </c>
      <c r="J20" s="5">
        <f t="shared" si="5"/>
        <v>20855.530611006616</v>
      </c>
      <c r="K20" s="5">
        <f t="shared" si="5"/>
        <v>23462.471937382441</v>
      </c>
      <c r="L20" s="5">
        <f t="shared" si="5"/>
        <v>26069.413263758266</v>
      </c>
      <c r="N20" t="s">
        <v>25</v>
      </c>
      <c r="O20" s="16">
        <v>1.1599999999999999</v>
      </c>
      <c r="P20" t="s">
        <v>14</v>
      </c>
    </row>
    <row r="21" spans="5:16" x14ac:dyDescent="0.2">
      <c r="F21" s="5">
        <f t="shared" si="5"/>
        <v>11470.541836053641</v>
      </c>
      <c r="G21" s="5">
        <f t="shared" si="5"/>
        <v>14338.177295067047</v>
      </c>
      <c r="H21" s="5">
        <f t="shared" si="5"/>
        <v>17205.812754080456</v>
      </c>
      <c r="I21" s="13">
        <f t="shared" si="5"/>
        <v>20073.448213093867</v>
      </c>
      <c r="J21" s="5">
        <f t="shared" si="5"/>
        <v>22941.083672107281</v>
      </c>
      <c r="K21" s="5">
        <f t="shared" si="5"/>
        <v>25808.719131120688</v>
      </c>
      <c r="L21" s="5">
        <f t="shared" si="5"/>
        <v>28676.354590134095</v>
      </c>
      <c r="N21" t="s">
        <v>26</v>
      </c>
      <c r="O21" s="16">
        <v>0.5</v>
      </c>
      <c r="P21" t="s">
        <v>14</v>
      </c>
    </row>
    <row r="22" spans="5:16" x14ac:dyDescent="0.2">
      <c r="F22" s="13">
        <f t="shared" si="5"/>
        <v>12513.318366603971</v>
      </c>
      <c r="G22" s="13">
        <f t="shared" si="5"/>
        <v>15641.647958254962</v>
      </c>
      <c r="H22" s="13">
        <f t="shared" si="5"/>
        <v>18769.977549905954</v>
      </c>
      <c r="I22" s="13">
        <f t="shared" si="5"/>
        <v>21898.307141556947</v>
      </c>
      <c r="J22" s="5">
        <f t="shared" si="5"/>
        <v>25026.636733207943</v>
      </c>
      <c r="K22" s="5">
        <f t="shared" si="5"/>
        <v>28154.966324858935</v>
      </c>
      <c r="L22" s="5">
        <f t="shared" si="5"/>
        <v>31283.295916509924</v>
      </c>
      <c r="N22" t="s">
        <v>27</v>
      </c>
      <c r="O22" s="16">
        <f>4.71*0.5</f>
        <v>2.355</v>
      </c>
      <c r="P22" t="s">
        <v>14</v>
      </c>
    </row>
    <row r="23" spans="5:16" x14ac:dyDescent="0.2">
      <c r="F23" s="5">
        <f t="shared" si="5"/>
        <v>13556.094897154304</v>
      </c>
      <c r="G23" s="5">
        <f t="shared" si="5"/>
        <v>16945.118621442878</v>
      </c>
      <c r="H23" s="5">
        <f t="shared" si="5"/>
        <v>20334.142345731452</v>
      </c>
      <c r="I23" s="5">
        <f t="shared" si="5"/>
        <v>23723.166070020026</v>
      </c>
      <c r="J23" s="5">
        <f t="shared" si="5"/>
        <v>27112.189794308608</v>
      </c>
      <c r="K23" s="5">
        <f t="shared" si="5"/>
        <v>30501.213518597178</v>
      </c>
      <c r="L23" s="5">
        <f t="shared" si="5"/>
        <v>33890.237242885756</v>
      </c>
      <c r="N23" t="s">
        <v>28</v>
      </c>
      <c r="O23" s="16">
        <v>2.2799999999999998</v>
      </c>
      <c r="P23" t="s">
        <v>29</v>
      </c>
    </row>
    <row r="24" spans="5:16" ht="12.75" thickBot="1" x14ac:dyDescent="0.25">
      <c r="F24" s="21">
        <f t="shared" si="5"/>
        <v>14598.871427704635</v>
      </c>
      <c r="G24" s="21">
        <f t="shared" si="5"/>
        <v>18248.589284630791</v>
      </c>
      <c r="H24" s="21">
        <f t="shared" si="5"/>
        <v>21898.30714155695</v>
      </c>
      <c r="I24" s="21">
        <f t="shared" si="5"/>
        <v>25548.02499848311</v>
      </c>
      <c r="J24" s="21">
        <f t="shared" si="5"/>
        <v>29197.742855409269</v>
      </c>
      <c r="K24" s="21">
        <f t="shared" si="5"/>
        <v>32847.460712335429</v>
      </c>
      <c r="L24" s="21">
        <f t="shared" si="5"/>
        <v>36497.178569261581</v>
      </c>
      <c r="N24" s="23" t="s">
        <v>30</v>
      </c>
      <c r="O24" s="24">
        <f>SUM(O19:O23)</f>
        <v>6.5949999999999989</v>
      </c>
      <c r="P24" s="23" t="s">
        <v>14</v>
      </c>
    </row>
    <row r="25" spans="5:16" x14ac:dyDescent="0.2">
      <c r="M25" s="5"/>
    </row>
    <row r="27" spans="5:16" x14ac:dyDescent="0.2">
      <c r="E27" t="s">
        <v>31</v>
      </c>
      <c r="N27" s="4" t="s">
        <v>32</v>
      </c>
      <c r="O27" t="s">
        <v>33</v>
      </c>
    </row>
    <row r="28" spans="5:16" x14ac:dyDescent="0.2">
      <c r="F28" s="5">
        <f t="shared" ref="F28:L34" si="6" xml:space="preserve"> ((F$7*1000)*(1-$O$12)*$O$46)</f>
        <v>2838.8304161368474</v>
      </c>
      <c r="G28" s="5">
        <f t="shared" si="6"/>
        <v>3548.5380201710595</v>
      </c>
      <c r="H28" s="5">
        <f t="shared" si="6"/>
        <v>4258.2456242052713</v>
      </c>
      <c r="I28" s="13">
        <f t="shared" si="6"/>
        <v>4967.953228239483</v>
      </c>
      <c r="J28" s="5">
        <f t="shared" si="6"/>
        <v>5677.6608322736947</v>
      </c>
      <c r="K28" s="5">
        <f t="shared" si="6"/>
        <v>6387.3684363079074</v>
      </c>
      <c r="L28" s="5">
        <f t="shared" si="6"/>
        <v>7097.0760403421191</v>
      </c>
      <c r="N28" t="s">
        <v>34</v>
      </c>
      <c r="O28" s="5">
        <f>19051/18.5</f>
        <v>1029.7837837837837</v>
      </c>
      <c r="P28" t="s">
        <v>14</v>
      </c>
    </row>
    <row r="29" spans="5:16" x14ac:dyDescent="0.2">
      <c r="F29" s="5">
        <f t="shared" si="6"/>
        <v>2838.8304161368474</v>
      </c>
      <c r="G29" s="5">
        <f t="shared" si="6"/>
        <v>3548.5380201710595</v>
      </c>
      <c r="H29" s="5">
        <f t="shared" si="6"/>
        <v>4258.2456242052713</v>
      </c>
      <c r="I29" s="13">
        <f t="shared" si="6"/>
        <v>4967.953228239483</v>
      </c>
      <c r="J29" s="5">
        <f t="shared" si="6"/>
        <v>5677.6608322736947</v>
      </c>
      <c r="K29" s="5">
        <f t="shared" si="6"/>
        <v>6387.3684363079074</v>
      </c>
      <c r="L29" s="5">
        <f t="shared" si="6"/>
        <v>7097.0760403421191</v>
      </c>
      <c r="N29" t="s">
        <v>35</v>
      </c>
      <c r="O29" s="5">
        <f>6625/18.5</f>
        <v>358.10810810810813</v>
      </c>
      <c r="P29" t="s">
        <v>14</v>
      </c>
    </row>
    <row r="30" spans="5:16" x14ac:dyDescent="0.2">
      <c r="F30" s="5">
        <f t="shared" si="6"/>
        <v>2838.8304161368474</v>
      </c>
      <c r="G30" s="5">
        <f t="shared" si="6"/>
        <v>3548.5380201710595</v>
      </c>
      <c r="H30" s="5">
        <f t="shared" si="6"/>
        <v>4258.2456242052713</v>
      </c>
      <c r="I30" s="13">
        <f t="shared" si="6"/>
        <v>4967.953228239483</v>
      </c>
      <c r="J30" s="5">
        <f t="shared" si="6"/>
        <v>5677.6608322736947</v>
      </c>
      <c r="K30" s="5">
        <f t="shared" si="6"/>
        <v>6387.3684363079074</v>
      </c>
      <c r="L30" s="5">
        <f t="shared" si="6"/>
        <v>7097.0760403421191</v>
      </c>
      <c r="N30" t="s">
        <v>36</v>
      </c>
      <c r="O30" s="5">
        <f>41476/18.5</f>
        <v>2241.9459459459458</v>
      </c>
      <c r="P30" t="s">
        <v>14</v>
      </c>
    </row>
    <row r="31" spans="5:16" x14ac:dyDescent="0.2">
      <c r="F31" s="5">
        <f t="shared" si="6"/>
        <v>2838.8304161368474</v>
      </c>
      <c r="G31" s="5">
        <f t="shared" si="6"/>
        <v>3548.5380201710595</v>
      </c>
      <c r="H31" s="5">
        <f t="shared" si="6"/>
        <v>4258.2456242052713</v>
      </c>
      <c r="I31" s="13">
        <f t="shared" si="6"/>
        <v>4967.953228239483</v>
      </c>
      <c r="J31" s="5">
        <f t="shared" si="6"/>
        <v>5677.6608322736947</v>
      </c>
      <c r="K31" s="5">
        <f t="shared" si="6"/>
        <v>6387.3684363079074</v>
      </c>
      <c r="L31" s="5">
        <f t="shared" si="6"/>
        <v>7097.0760403421191</v>
      </c>
      <c r="N31" t="s">
        <v>37</v>
      </c>
      <c r="O31" s="5">
        <f>26291/18.5</f>
        <v>1421.1351351351352</v>
      </c>
      <c r="P31" t="s">
        <v>14</v>
      </c>
    </row>
    <row r="32" spans="5:16" x14ac:dyDescent="0.2">
      <c r="F32" s="13">
        <f t="shared" si="6"/>
        <v>2838.8304161368474</v>
      </c>
      <c r="G32" s="13">
        <f t="shared" si="6"/>
        <v>3548.5380201710595</v>
      </c>
      <c r="H32" s="13">
        <f t="shared" si="6"/>
        <v>4258.2456242052713</v>
      </c>
      <c r="I32" s="13">
        <f t="shared" si="6"/>
        <v>4967.953228239483</v>
      </c>
      <c r="J32" s="5">
        <f t="shared" si="6"/>
        <v>5677.6608322736947</v>
      </c>
      <c r="K32" s="5">
        <f t="shared" si="6"/>
        <v>6387.3684363079074</v>
      </c>
      <c r="L32" s="5">
        <f t="shared" si="6"/>
        <v>7097.0760403421191</v>
      </c>
      <c r="N32" t="s">
        <v>38</v>
      </c>
      <c r="O32" s="5">
        <f>16232/18.5</f>
        <v>877.40540540540542</v>
      </c>
      <c r="P32" t="s">
        <v>14</v>
      </c>
    </row>
    <row r="33" spans="5:16" x14ac:dyDescent="0.2">
      <c r="F33" s="5">
        <f t="shared" si="6"/>
        <v>2838.8304161368474</v>
      </c>
      <c r="G33" s="5">
        <f t="shared" si="6"/>
        <v>3548.5380201710595</v>
      </c>
      <c r="H33" s="5">
        <f t="shared" si="6"/>
        <v>4258.2456242052713</v>
      </c>
      <c r="I33" s="5">
        <f t="shared" si="6"/>
        <v>4967.953228239483</v>
      </c>
      <c r="J33" s="5">
        <f t="shared" si="6"/>
        <v>5677.6608322736947</v>
      </c>
      <c r="K33" s="5">
        <f t="shared" si="6"/>
        <v>6387.3684363079074</v>
      </c>
      <c r="L33" s="5">
        <f t="shared" si="6"/>
        <v>7097.0760403421191</v>
      </c>
      <c r="N33" t="s">
        <v>39</v>
      </c>
      <c r="O33" s="5">
        <f>18734/18.5</f>
        <v>1012.6486486486486</v>
      </c>
      <c r="P33" t="s">
        <v>14</v>
      </c>
    </row>
    <row r="34" spans="5:16" ht="12.75" thickBot="1" x14ac:dyDescent="0.25">
      <c r="F34" s="21">
        <f t="shared" si="6"/>
        <v>2838.8304161368474</v>
      </c>
      <c r="G34" s="21">
        <f t="shared" si="6"/>
        <v>3548.5380201710595</v>
      </c>
      <c r="H34" s="21">
        <f t="shared" si="6"/>
        <v>4258.2456242052713</v>
      </c>
      <c r="I34" s="21">
        <f t="shared" si="6"/>
        <v>4967.953228239483</v>
      </c>
      <c r="J34" s="21">
        <f t="shared" si="6"/>
        <v>5677.6608322736947</v>
      </c>
      <c r="K34" s="21">
        <f t="shared" si="6"/>
        <v>6387.3684363079074</v>
      </c>
      <c r="L34" s="21">
        <f t="shared" si="6"/>
        <v>7097.0760403421191</v>
      </c>
      <c r="N34" t="s">
        <v>27</v>
      </c>
      <c r="O34" s="5">
        <f>155250*0.5/18.5</f>
        <v>4195.9459459459458</v>
      </c>
      <c r="P34" t="s">
        <v>29</v>
      </c>
    </row>
    <row r="35" spans="5:16" x14ac:dyDescent="0.2">
      <c r="M35" s="5"/>
      <c r="N35" t="s">
        <v>40</v>
      </c>
      <c r="O35" s="5">
        <f>6668/18.5</f>
        <v>360.43243243243245</v>
      </c>
      <c r="P35" t="s">
        <v>14</v>
      </c>
    </row>
    <row r="36" spans="5:16" x14ac:dyDescent="0.2">
      <c r="N36" t="s">
        <v>41</v>
      </c>
      <c r="O36" s="5">
        <f>12103/18.5</f>
        <v>654.21621621621625</v>
      </c>
      <c r="P36" t="s">
        <v>14</v>
      </c>
    </row>
    <row r="37" spans="5:16" x14ac:dyDescent="0.2">
      <c r="E37" t="s">
        <v>42</v>
      </c>
      <c r="N37" t="s">
        <v>43</v>
      </c>
      <c r="O37" s="5">
        <f>46109/18.5</f>
        <v>2492.3783783783783</v>
      </c>
      <c r="P37" t="s">
        <v>14</v>
      </c>
    </row>
    <row r="38" spans="5:16" x14ac:dyDescent="0.2">
      <c r="F38" s="5">
        <f t="shared" ref="F38:L44" si="7">((F$7*1000)*$O$12*$E8)+
 ((F$7*1000)*(1-$O$12)*$O$46)</f>
        <v>11181.042660539493</v>
      </c>
      <c r="G38" s="5">
        <f t="shared" si="7"/>
        <v>13976.303325674367</v>
      </c>
      <c r="H38" s="5">
        <f t="shared" si="7"/>
        <v>16771.563990809242</v>
      </c>
      <c r="I38" s="13">
        <f t="shared" si="7"/>
        <v>19566.824655944114</v>
      </c>
      <c r="J38" s="5">
        <f t="shared" si="7"/>
        <v>22362.085321078986</v>
      </c>
      <c r="K38" s="5">
        <f t="shared" si="7"/>
        <v>25157.345986213862</v>
      </c>
      <c r="L38" s="5">
        <f t="shared" si="7"/>
        <v>27952.606651348735</v>
      </c>
      <c r="N38" t="s">
        <v>44</v>
      </c>
      <c r="O38" s="5">
        <f>26482/18.5</f>
        <v>1431.4594594594594</v>
      </c>
      <c r="P38" t="s">
        <v>14</v>
      </c>
    </row>
    <row r="39" spans="5:16" x14ac:dyDescent="0.2">
      <c r="F39" s="5">
        <f t="shared" si="7"/>
        <v>12223.819191089824</v>
      </c>
      <c r="G39" s="5">
        <f t="shared" si="7"/>
        <v>15279.77398886228</v>
      </c>
      <c r="H39" s="5">
        <f t="shared" si="7"/>
        <v>18335.728786634736</v>
      </c>
      <c r="I39" s="13">
        <f t="shared" si="7"/>
        <v>21391.68358440719</v>
      </c>
      <c r="J39" s="5">
        <f t="shared" si="7"/>
        <v>24447.638382179648</v>
      </c>
      <c r="K39" s="5">
        <f t="shared" si="7"/>
        <v>27503.593179952106</v>
      </c>
      <c r="L39" s="5">
        <f t="shared" si="7"/>
        <v>30559.54797772456</v>
      </c>
      <c r="N39" s="25" t="s">
        <v>45</v>
      </c>
      <c r="O39" s="5">
        <f>-23915/18.5</f>
        <v>-1292.7027027027027</v>
      </c>
      <c r="P39" t="s">
        <v>14</v>
      </c>
    </row>
    <row r="40" spans="5:16" x14ac:dyDescent="0.2">
      <c r="F40" s="5">
        <f t="shared" si="7"/>
        <v>13266.595721640155</v>
      </c>
      <c r="G40" s="5">
        <f t="shared" si="7"/>
        <v>16583.244652050191</v>
      </c>
      <c r="H40" s="5">
        <f t="shared" si="7"/>
        <v>19899.89358246023</v>
      </c>
      <c r="I40" s="13">
        <f t="shared" si="7"/>
        <v>23216.54251287027</v>
      </c>
      <c r="J40" s="5">
        <f t="shared" si="7"/>
        <v>26533.19144328031</v>
      </c>
      <c r="K40" s="5">
        <f t="shared" si="7"/>
        <v>29849.840373690349</v>
      </c>
      <c r="L40" s="5">
        <f t="shared" si="7"/>
        <v>33166.489304100382</v>
      </c>
      <c r="N40" s="23" t="s">
        <v>46</v>
      </c>
      <c r="O40" s="26">
        <f>SUM(O28:O39)</f>
        <v>14782.756756756757</v>
      </c>
      <c r="P40" s="23" t="s">
        <v>21</v>
      </c>
    </row>
    <row r="41" spans="5:16" x14ac:dyDescent="0.2">
      <c r="F41" s="5">
        <f t="shared" si="7"/>
        <v>14309.372252190487</v>
      </c>
      <c r="G41" s="5">
        <f t="shared" si="7"/>
        <v>17886.715315238107</v>
      </c>
      <c r="H41" s="5">
        <f t="shared" si="7"/>
        <v>21464.058378285728</v>
      </c>
      <c r="I41" s="13">
        <f t="shared" si="7"/>
        <v>25041.40144133335</v>
      </c>
      <c r="J41" s="5">
        <f t="shared" si="7"/>
        <v>28618.744504380975</v>
      </c>
      <c r="K41" s="5">
        <f t="shared" si="7"/>
        <v>32196.087567428596</v>
      </c>
      <c r="L41" s="5">
        <f t="shared" si="7"/>
        <v>35773.430630476214</v>
      </c>
    </row>
    <row r="42" spans="5:16" x14ac:dyDescent="0.2">
      <c r="F42" s="13">
        <f t="shared" si="7"/>
        <v>15352.148782740818</v>
      </c>
      <c r="G42" s="13">
        <f t="shared" si="7"/>
        <v>19190.185978426023</v>
      </c>
      <c r="H42" s="13">
        <f t="shared" si="7"/>
        <v>23028.223174111226</v>
      </c>
      <c r="I42" s="13">
        <f t="shared" si="7"/>
        <v>26866.26036979643</v>
      </c>
      <c r="J42" s="5">
        <f t="shared" si="7"/>
        <v>30704.297565481636</v>
      </c>
      <c r="K42" s="5">
        <f t="shared" si="7"/>
        <v>34542.334761166843</v>
      </c>
      <c r="L42" s="5">
        <f t="shared" si="7"/>
        <v>38380.371956852046</v>
      </c>
      <c r="O42" s="27"/>
    </row>
    <row r="43" spans="5:16" x14ac:dyDescent="0.2">
      <c r="F43" s="5">
        <f t="shared" si="7"/>
        <v>16394.925313291151</v>
      </c>
      <c r="G43" s="5">
        <f t="shared" si="7"/>
        <v>20493.656641613939</v>
      </c>
      <c r="H43" s="5">
        <f t="shared" si="7"/>
        <v>24592.387969936724</v>
      </c>
      <c r="I43" s="5">
        <f t="shared" si="7"/>
        <v>28691.119298259509</v>
      </c>
      <c r="J43" s="5">
        <f t="shared" si="7"/>
        <v>32789.850626582302</v>
      </c>
      <c r="K43" s="5">
        <f t="shared" si="7"/>
        <v>36888.581954905087</v>
      </c>
      <c r="L43" s="5">
        <f t="shared" si="7"/>
        <v>40987.313283227879</v>
      </c>
      <c r="N43" t="s">
        <v>47</v>
      </c>
      <c r="O43" s="27">
        <v>19.051200000000001</v>
      </c>
      <c r="P43" t="s">
        <v>19</v>
      </c>
    </row>
    <row r="44" spans="5:16" ht="12.75" thickBot="1" x14ac:dyDescent="0.25">
      <c r="F44" s="21">
        <f t="shared" si="7"/>
        <v>17437.701843841482</v>
      </c>
      <c r="G44" s="21">
        <f t="shared" si="7"/>
        <v>21797.127304801848</v>
      </c>
      <c r="H44" s="21">
        <f t="shared" si="7"/>
        <v>26156.552765762222</v>
      </c>
      <c r="I44" s="21">
        <f t="shared" si="7"/>
        <v>30515.978226722593</v>
      </c>
      <c r="J44" s="21">
        <f t="shared" si="7"/>
        <v>34875.403687682963</v>
      </c>
      <c r="K44" s="21">
        <f t="shared" si="7"/>
        <v>39234.829148643337</v>
      </c>
      <c r="L44" s="21">
        <f t="shared" si="7"/>
        <v>43594.254609603697</v>
      </c>
      <c r="N44" t="s">
        <v>48</v>
      </c>
      <c r="O44" s="27">
        <f>O24/O43</f>
        <v>0.34617241958511791</v>
      </c>
      <c r="P44" t="s">
        <v>21</v>
      </c>
    </row>
    <row r="45" spans="5:16" x14ac:dyDescent="0.2">
      <c r="F45" s="28"/>
      <c r="G45" s="28"/>
      <c r="H45" s="28"/>
      <c r="I45" s="28"/>
      <c r="J45" s="28"/>
      <c r="K45" s="28"/>
      <c r="L45" s="28"/>
      <c r="M45" s="5"/>
      <c r="N45" t="s">
        <v>49</v>
      </c>
      <c r="O45" s="3">
        <f>O40</f>
        <v>14782.756756756757</v>
      </c>
      <c r="P45" t="s">
        <v>21</v>
      </c>
    </row>
    <row r="46" spans="5:16" x14ac:dyDescent="0.2">
      <c r="N46" t="s">
        <v>50</v>
      </c>
      <c r="O46" s="29">
        <f>5.65/$O$43</f>
        <v>0.29656924498194337</v>
      </c>
      <c r="P46" t="s">
        <v>14</v>
      </c>
    </row>
    <row r="47" spans="5:16" x14ac:dyDescent="0.2">
      <c r="E47" t="s">
        <v>51</v>
      </c>
      <c r="F47" s="28"/>
      <c r="G47" s="28"/>
      <c r="H47" s="28"/>
      <c r="I47" s="28"/>
      <c r="J47" s="28"/>
      <c r="K47" s="28"/>
      <c r="L47" s="28"/>
    </row>
    <row r="48" spans="5:16" x14ac:dyDescent="0.2">
      <c r="F48" s="5">
        <f t="shared" ref="F48:L54" si="8">((F$7*1000)*$O$44)</f>
        <v>6923.4483917023581</v>
      </c>
      <c r="G48" s="5">
        <f t="shared" si="8"/>
        <v>8654.3104896279474</v>
      </c>
      <c r="H48" s="5">
        <f t="shared" si="8"/>
        <v>10385.172587553538</v>
      </c>
      <c r="I48" s="13">
        <f t="shared" si="8"/>
        <v>12116.034685479126</v>
      </c>
      <c r="J48" s="5">
        <f t="shared" si="8"/>
        <v>13846.896783404716</v>
      </c>
      <c r="K48" s="5">
        <f t="shared" si="8"/>
        <v>15577.758881330306</v>
      </c>
      <c r="L48" s="5">
        <f t="shared" si="8"/>
        <v>17308.620979255895</v>
      </c>
    </row>
    <row r="49" spans="5:16" x14ac:dyDescent="0.2">
      <c r="F49" s="5">
        <f t="shared" si="8"/>
        <v>6923.4483917023581</v>
      </c>
      <c r="G49" s="5">
        <f t="shared" si="8"/>
        <v>8654.3104896279474</v>
      </c>
      <c r="H49" s="5">
        <f t="shared" si="8"/>
        <v>10385.172587553538</v>
      </c>
      <c r="I49" s="13">
        <f t="shared" si="8"/>
        <v>12116.034685479126</v>
      </c>
      <c r="J49" s="5">
        <f t="shared" si="8"/>
        <v>13846.896783404716</v>
      </c>
      <c r="K49" s="5">
        <f t="shared" si="8"/>
        <v>15577.758881330306</v>
      </c>
      <c r="L49" s="5">
        <f t="shared" si="8"/>
        <v>17308.620979255895</v>
      </c>
    </row>
    <row r="50" spans="5:16" x14ac:dyDescent="0.2">
      <c r="F50" s="5">
        <f t="shared" si="8"/>
        <v>6923.4483917023581</v>
      </c>
      <c r="G50" s="5">
        <f t="shared" si="8"/>
        <v>8654.3104896279474</v>
      </c>
      <c r="H50" s="5">
        <f t="shared" si="8"/>
        <v>10385.172587553538</v>
      </c>
      <c r="I50" s="13">
        <f t="shared" si="8"/>
        <v>12116.034685479126</v>
      </c>
      <c r="J50" s="5">
        <f t="shared" si="8"/>
        <v>13846.896783404716</v>
      </c>
      <c r="K50" s="5">
        <f t="shared" si="8"/>
        <v>15577.758881330306</v>
      </c>
      <c r="L50" s="5">
        <f t="shared" si="8"/>
        <v>17308.620979255895</v>
      </c>
    </row>
    <row r="51" spans="5:16" x14ac:dyDescent="0.2">
      <c r="F51" s="5">
        <f t="shared" si="8"/>
        <v>6923.4483917023581</v>
      </c>
      <c r="G51" s="5">
        <f t="shared" si="8"/>
        <v>8654.3104896279474</v>
      </c>
      <c r="H51" s="5">
        <f t="shared" si="8"/>
        <v>10385.172587553538</v>
      </c>
      <c r="I51" s="13">
        <f t="shared" si="8"/>
        <v>12116.034685479126</v>
      </c>
      <c r="J51" s="5">
        <f t="shared" si="8"/>
        <v>13846.896783404716</v>
      </c>
      <c r="K51" s="5">
        <f t="shared" si="8"/>
        <v>15577.758881330306</v>
      </c>
      <c r="L51" s="5">
        <f t="shared" si="8"/>
        <v>17308.620979255895</v>
      </c>
      <c r="P51" s="30"/>
    </row>
    <row r="52" spans="5:16" x14ac:dyDescent="0.2">
      <c r="F52" s="13">
        <f t="shared" si="8"/>
        <v>6923.4483917023581</v>
      </c>
      <c r="G52" s="13">
        <f t="shared" si="8"/>
        <v>8654.3104896279474</v>
      </c>
      <c r="H52" s="13">
        <f t="shared" si="8"/>
        <v>10385.172587553538</v>
      </c>
      <c r="I52" s="13">
        <f t="shared" si="8"/>
        <v>12116.034685479126</v>
      </c>
      <c r="J52" s="5">
        <f t="shared" si="8"/>
        <v>13846.896783404716</v>
      </c>
      <c r="K52" s="5">
        <f t="shared" si="8"/>
        <v>15577.758881330306</v>
      </c>
      <c r="L52" s="5">
        <f t="shared" si="8"/>
        <v>17308.620979255895</v>
      </c>
    </row>
    <row r="53" spans="5:16" x14ac:dyDescent="0.2">
      <c r="F53" s="5">
        <f t="shared" si="8"/>
        <v>6923.4483917023581</v>
      </c>
      <c r="G53" s="5">
        <f t="shared" si="8"/>
        <v>8654.3104896279474</v>
      </c>
      <c r="H53" s="5">
        <f t="shared" si="8"/>
        <v>10385.172587553538</v>
      </c>
      <c r="I53" s="5">
        <f t="shared" si="8"/>
        <v>12116.034685479126</v>
      </c>
      <c r="J53" s="5">
        <f t="shared" si="8"/>
        <v>13846.896783404716</v>
      </c>
      <c r="K53" s="5">
        <f t="shared" si="8"/>
        <v>15577.758881330306</v>
      </c>
      <c r="L53" s="5">
        <f t="shared" si="8"/>
        <v>17308.620979255895</v>
      </c>
    </row>
    <row r="54" spans="5:16" ht="12.75" thickBot="1" x14ac:dyDescent="0.25">
      <c r="F54" s="21">
        <f t="shared" si="8"/>
        <v>6923.4483917023581</v>
      </c>
      <c r="G54" s="21">
        <f t="shared" si="8"/>
        <v>8654.3104896279474</v>
      </c>
      <c r="H54" s="21">
        <f t="shared" si="8"/>
        <v>10385.172587553538</v>
      </c>
      <c r="I54" s="21">
        <f t="shared" si="8"/>
        <v>12116.034685479126</v>
      </c>
      <c r="J54" s="21">
        <f t="shared" si="8"/>
        <v>13846.896783404716</v>
      </c>
      <c r="K54" s="21">
        <f t="shared" si="8"/>
        <v>15577.758881330306</v>
      </c>
      <c r="L54" s="21">
        <f t="shared" si="8"/>
        <v>17308.620979255895</v>
      </c>
    </row>
    <row r="55" spans="5:16" x14ac:dyDescent="0.2">
      <c r="M55" s="5"/>
    </row>
    <row r="56" spans="5:16" x14ac:dyDescent="0.2">
      <c r="E56" t="s">
        <v>52</v>
      </c>
      <c r="F56" s="28"/>
      <c r="G56" s="28"/>
      <c r="H56" s="28"/>
      <c r="I56" s="28"/>
      <c r="J56" s="28"/>
      <c r="K56" s="28"/>
      <c r="L56" s="28"/>
    </row>
    <row r="57" spans="5:16" x14ac:dyDescent="0.2">
      <c r="F57" s="5">
        <f t="shared" ref="F57:L63" si="9">$O$40</f>
        <v>14782.756756756757</v>
      </c>
      <c r="G57" s="5">
        <f t="shared" si="9"/>
        <v>14782.756756756757</v>
      </c>
      <c r="H57" s="5">
        <f t="shared" si="9"/>
        <v>14782.756756756757</v>
      </c>
      <c r="I57" s="13">
        <f t="shared" si="9"/>
        <v>14782.756756756757</v>
      </c>
      <c r="J57" s="5">
        <f t="shared" si="9"/>
        <v>14782.756756756757</v>
      </c>
      <c r="K57" s="5">
        <f t="shared" si="9"/>
        <v>14782.756756756757</v>
      </c>
      <c r="L57" s="5">
        <f t="shared" si="9"/>
        <v>14782.756756756757</v>
      </c>
    </row>
    <row r="58" spans="5:16" x14ac:dyDescent="0.2">
      <c r="F58" s="5">
        <f t="shared" si="9"/>
        <v>14782.756756756757</v>
      </c>
      <c r="G58" s="5">
        <f t="shared" si="9"/>
        <v>14782.756756756757</v>
      </c>
      <c r="H58" s="5">
        <f t="shared" si="9"/>
        <v>14782.756756756757</v>
      </c>
      <c r="I58" s="13">
        <f t="shared" si="9"/>
        <v>14782.756756756757</v>
      </c>
      <c r="J58" s="5">
        <f t="shared" si="9"/>
        <v>14782.756756756757</v>
      </c>
      <c r="K58" s="5">
        <f t="shared" si="9"/>
        <v>14782.756756756757</v>
      </c>
      <c r="L58" s="5">
        <f t="shared" si="9"/>
        <v>14782.756756756757</v>
      </c>
    </row>
    <row r="59" spans="5:16" x14ac:dyDescent="0.2">
      <c r="F59" s="5">
        <f t="shared" si="9"/>
        <v>14782.756756756757</v>
      </c>
      <c r="G59" s="5">
        <f t="shared" si="9"/>
        <v>14782.756756756757</v>
      </c>
      <c r="H59" s="5">
        <f t="shared" si="9"/>
        <v>14782.756756756757</v>
      </c>
      <c r="I59" s="13">
        <f t="shared" si="9"/>
        <v>14782.756756756757</v>
      </c>
      <c r="J59" s="5">
        <f t="shared" si="9"/>
        <v>14782.756756756757</v>
      </c>
      <c r="K59" s="5">
        <f t="shared" si="9"/>
        <v>14782.756756756757</v>
      </c>
      <c r="L59" s="5">
        <f t="shared" si="9"/>
        <v>14782.756756756757</v>
      </c>
    </row>
    <row r="60" spans="5:16" x14ac:dyDescent="0.2">
      <c r="F60" s="5">
        <f t="shared" si="9"/>
        <v>14782.756756756757</v>
      </c>
      <c r="G60" s="5">
        <f t="shared" si="9"/>
        <v>14782.756756756757</v>
      </c>
      <c r="H60" s="5">
        <f t="shared" si="9"/>
        <v>14782.756756756757</v>
      </c>
      <c r="I60" s="13">
        <f t="shared" si="9"/>
        <v>14782.756756756757</v>
      </c>
      <c r="J60" s="5">
        <f t="shared" si="9"/>
        <v>14782.756756756757</v>
      </c>
      <c r="K60" s="5">
        <f t="shared" si="9"/>
        <v>14782.756756756757</v>
      </c>
      <c r="L60" s="5">
        <f t="shared" si="9"/>
        <v>14782.756756756757</v>
      </c>
    </row>
    <row r="61" spans="5:16" x14ac:dyDescent="0.2">
      <c r="F61" s="13">
        <f t="shared" si="9"/>
        <v>14782.756756756757</v>
      </c>
      <c r="G61" s="13">
        <f t="shared" si="9"/>
        <v>14782.756756756757</v>
      </c>
      <c r="H61" s="13">
        <f t="shared" si="9"/>
        <v>14782.756756756757</v>
      </c>
      <c r="I61" s="13">
        <f t="shared" si="9"/>
        <v>14782.756756756757</v>
      </c>
      <c r="J61" s="5">
        <f t="shared" si="9"/>
        <v>14782.756756756757</v>
      </c>
      <c r="K61" s="5">
        <f t="shared" si="9"/>
        <v>14782.756756756757</v>
      </c>
      <c r="L61" s="5">
        <f t="shared" si="9"/>
        <v>14782.756756756757</v>
      </c>
    </row>
    <row r="62" spans="5:16" x14ac:dyDescent="0.2">
      <c r="F62" s="5">
        <f t="shared" si="9"/>
        <v>14782.756756756757</v>
      </c>
      <c r="G62" s="5">
        <f t="shared" si="9"/>
        <v>14782.756756756757</v>
      </c>
      <c r="H62" s="5">
        <f t="shared" si="9"/>
        <v>14782.756756756757</v>
      </c>
      <c r="I62" s="5">
        <f t="shared" si="9"/>
        <v>14782.756756756757</v>
      </c>
      <c r="J62" s="5">
        <f t="shared" si="9"/>
        <v>14782.756756756757</v>
      </c>
      <c r="K62" s="5">
        <f t="shared" si="9"/>
        <v>14782.756756756757</v>
      </c>
      <c r="L62" s="5">
        <f t="shared" si="9"/>
        <v>14782.756756756757</v>
      </c>
    </row>
    <row r="63" spans="5:16" ht="12.75" thickBot="1" x14ac:dyDescent="0.25">
      <c r="F63" s="21">
        <f t="shared" si="9"/>
        <v>14782.756756756757</v>
      </c>
      <c r="G63" s="21">
        <f t="shared" si="9"/>
        <v>14782.756756756757</v>
      </c>
      <c r="H63" s="21">
        <f t="shared" si="9"/>
        <v>14782.756756756757</v>
      </c>
      <c r="I63" s="21">
        <f t="shared" si="9"/>
        <v>14782.756756756757</v>
      </c>
      <c r="J63" s="21">
        <f t="shared" si="9"/>
        <v>14782.756756756757</v>
      </c>
      <c r="K63" s="21">
        <f t="shared" si="9"/>
        <v>14782.756756756757</v>
      </c>
      <c r="L63" s="21">
        <f t="shared" si="9"/>
        <v>14782.756756756757</v>
      </c>
    </row>
    <row r="64" spans="5:16" x14ac:dyDescent="0.2">
      <c r="M64" s="5"/>
    </row>
    <row r="65" spans="5:13" x14ac:dyDescent="0.2">
      <c r="E65" t="s">
        <v>53</v>
      </c>
    </row>
    <row r="66" spans="5:13" x14ac:dyDescent="0.2">
      <c r="F66" s="5">
        <f>F38-F48-F57</f>
        <v>-10525.162487919621</v>
      </c>
      <c r="G66" s="5">
        <f t="shared" ref="G66:L66" si="10">G38-G48-G57</f>
        <v>-9460.7639207103366</v>
      </c>
      <c r="H66" s="5">
        <f t="shared" si="10"/>
        <v>-8396.3653535010526</v>
      </c>
      <c r="I66" s="13">
        <f t="shared" si="10"/>
        <v>-7331.9667862917686</v>
      </c>
      <c r="J66" s="5">
        <f t="shared" si="10"/>
        <v>-6267.5682190824864</v>
      </c>
      <c r="K66" s="5">
        <f t="shared" si="10"/>
        <v>-5203.1696518732006</v>
      </c>
      <c r="L66" s="5">
        <f t="shared" si="10"/>
        <v>-4138.7710846639166</v>
      </c>
    </row>
    <row r="67" spans="5:13" x14ac:dyDescent="0.2">
      <c r="F67" s="5">
        <f t="shared" ref="F67:L72" si="11">F39-F49-F58</f>
        <v>-9482.3859573692898</v>
      </c>
      <c r="G67" s="5">
        <f t="shared" si="11"/>
        <v>-8157.293257522424</v>
      </c>
      <c r="H67" s="5">
        <f t="shared" si="11"/>
        <v>-6832.2005576755582</v>
      </c>
      <c r="I67" s="13">
        <f t="shared" si="11"/>
        <v>-5507.1078578286924</v>
      </c>
      <c r="J67" s="5">
        <f t="shared" si="11"/>
        <v>-4182.0151579818248</v>
      </c>
      <c r="K67" s="5">
        <f t="shared" si="11"/>
        <v>-2856.9224581349572</v>
      </c>
      <c r="L67" s="5">
        <f t="shared" si="11"/>
        <v>-1531.8297582880914</v>
      </c>
    </row>
    <row r="68" spans="5:13" x14ac:dyDescent="0.2">
      <c r="F68" s="5">
        <f t="shared" si="11"/>
        <v>-8439.609426818959</v>
      </c>
      <c r="G68" s="5">
        <f t="shared" si="11"/>
        <v>-6853.8225943345133</v>
      </c>
      <c r="H68" s="5">
        <f t="shared" si="11"/>
        <v>-5268.0357618500639</v>
      </c>
      <c r="I68" s="13">
        <f t="shared" si="11"/>
        <v>-3682.2489293656126</v>
      </c>
      <c r="J68" s="5">
        <f t="shared" si="11"/>
        <v>-2096.4620968811632</v>
      </c>
      <c r="K68" s="5">
        <f t="shared" si="11"/>
        <v>-510.67526439671383</v>
      </c>
      <c r="L68" s="5">
        <f t="shared" si="11"/>
        <v>1075.1115680877301</v>
      </c>
    </row>
    <row r="69" spans="5:13" x14ac:dyDescent="0.2">
      <c r="F69" s="5">
        <f t="shared" si="11"/>
        <v>-7396.8328962686273</v>
      </c>
      <c r="G69" s="5">
        <f t="shared" si="11"/>
        <v>-5550.3519311465971</v>
      </c>
      <c r="H69" s="5">
        <f t="shared" si="11"/>
        <v>-3703.8709660245659</v>
      </c>
      <c r="I69" s="13">
        <f t="shared" si="11"/>
        <v>-1857.3900009025328</v>
      </c>
      <c r="J69" s="5">
        <f t="shared" si="11"/>
        <v>-10.909035780498016</v>
      </c>
      <c r="K69" s="5">
        <f t="shared" si="11"/>
        <v>1835.571929341535</v>
      </c>
      <c r="L69" s="5">
        <f t="shared" si="11"/>
        <v>3682.0528944635626</v>
      </c>
    </row>
    <row r="70" spans="5:13" x14ac:dyDescent="0.2">
      <c r="F70" s="13">
        <f t="shared" si="11"/>
        <v>-6354.0563657182975</v>
      </c>
      <c r="G70" s="13">
        <f t="shared" si="11"/>
        <v>-4246.8812679586808</v>
      </c>
      <c r="H70" s="13">
        <f t="shared" si="11"/>
        <v>-2139.7061701990679</v>
      </c>
      <c r="I70" s="13">
        <f t="shared" si="11"/>
        <v>-32.531072439453055</v>
      </c>
      <c r="J70" s="5">
        <f t="shared" si="11"/>
        <v>2074.6440253201617</v>
      </c>
      <c r="K70" s="5">
        <f t="shared" si="11"/>
        <v>4181.8191230797784</v>
      </c>
      <c r="L70" s="5">
        <f t="shared" si="11"/>
        <v>6288.994220839395</v>
      </c>
    </row>
    <row r="71" spans="5:13" x14ac:dyDescent="0.2">
      <c r="F71" s="5">
        <f t="shared" si="11"/>
        <v>-5311.279835167963</v>
      </c>
      <c r="G71" s="5">
        <f t="shared" si="11"/>
        <v>-2943.4106047707646</v>
      </c>
      <c r="H71" s="5">
        <f t="shared" si="11"/>
        <v>-575.54137437356985</v>
      </c>
      <c r="I71" s="5">
        <f t="shared" si="11"/>
        <v>1792.3278560236249</v>
      </c>
      <c r="J71" s="5">
        <f t="shared" si="11"/>
        <v>4160.1970864208306</v>
      </c>
      <c r="K71" s="5">
        <f t="shared" si="11"/>
        <v>6528.0663168180217</v>
      </c>
      <c r="L71" s="5">
        <f t="shared" si="11"/>
        <v>8895.9355472152274</v>
      </c>
    </row>
    <row r="72" spans="5:13" ht="12.75" thickBot="1" x14ac:dyDescent="0.25">
      <c r="F72" s="21">
        <f t="shared" si="11"/>
        <v>-4268.5033046176322</v>
      </c>
      <c r="G72" s="21">
        <f t="shared" si="11"/>
        <v>-1639.9399415828557</v>
      </c>
      <c r="H72" s="21">
        <f t="shared" si="11"/>
        <v>988.62342145192815</v>
      </c>
      <c r="I72" s="21">
        <f t="shared" si="11"/>
        <v>3617.186784486712</v>
      </c>
      <c r="J72" s="21">
        <f t="shared" si="11"/>
        <v>6245.7501475214922</v>
      </c>
      <c r="K72" s="21">
        <f t="shared" si="11"/>
        <v>8874.3135105562724</v>
      </c>
      <c r="L72" s="21">
        <f t="shared" si="11"/>
        <v>11502.876873591045</v>
      </c>
    </row>
    <row r="73" spans="5:13" x14ac:dyDescent="0.2">
      <c r="M73" s="5"/>
    </row>
    <row r="74" spans="5:13" x14ac:dyDescent="0.2">
      <c r="E74" t="s">
        <v>54</v>
      </c>
    </row>
    <row r="75" spans="5:13" x14ac:dyDescent="0.2">
      <c r="F75" s="5">
        <f t="shared" ref="F75:L81" si="12">((F$7*1000)*$O$12)/$O$43</f>
        <v>547.35477584106548</v>
      </c>
      <c r="G75" s="5">
        <f t="shared" si="12"/>
        <v>684.19346980133173</v>
      </c>
      <c r="H75" s="5">
        <f t="shared" si="12"/>
        <v>821.03216376159821</v>
      </c>
      <c r="I75" s="13">
        <f t="shared" si="12"/>
        <v>957.87085772186458</v>
      </c>
      <c r="J75" s="5">
        <f t="shared" si="12"/>
        <v>1094.709551682131</v>
      </c>
      <c r="K75" s="5">
        <f t="shared" si="12"/>
        <v>1231.5482456423972</v>
      </c>
      <c r="L75" s="5">
        <f t="shared" si="12"/>
        <v>1368.3869396026635</v>
      </c>
    </row>
    <row r="76" spans="5:13" x14ac:dyDescent="0.2">
      <c r="F76" s="5">
        <f t="shared" si="12"/>
        <v>547.35477584106548</v>
      </c>
      <c r="G76" s="5">
        <f t="shared" si="12"/>
        <v>684.19346980133173</v>
      </c>
      <c r="H76" s="5">
        <f t="shared" si="12"/>
        <v>821.03216376159821</v>
      </c>
      <c r="I76" s="13">
        <f t="shared" si="12"/>
        <v>957.87085772186458</v>
      </c>
      <c r="J76" s="5">
        <f t="shared" si="12"/>
        <v>1094.709551682131</v>
      </c>
      <c r="K76" s="5">
        <f t="shared" si="12"/>
        <v>1231.5482456423972</v>
      </c>
      <c r="L76" s="5">
        <f t="shared" si="12"/>
        <v>1368.3869396026635</v>
      </c>
    </row>
    <row r="77" spans="5:13" x14ac:dyDescent="0.2">
      <c r="F77" s="5">
        <f t="shared" si="12"/>
        <v>547.35477584106548</v>
      </c>
      <c r="G77" s="5">
        <f t="shared" si="12"/>
        <v>684.19346980133173</v>
      </c>
      <c r="H77" s="5">
        <f t="shared" si="12"/>
        <v>821.03216376159821</v>
      </c>
      <c r="I77" s="13">
        <f t="shared" si="12"/>
        <v>957.87085772186458</v>
      </c>
      <c r="J77" s="5">
        <f t="shared" si="12"/>
        <v>1094.709551682131</v>
      </c>
      <c r="K77" s="5">
        <f t="shared" si="12"/>
        <v>1231.5482456423972</v>
      </c>
      <c r="L77" s="5">
        <f t="shared" si="12"/>
        <v>1368.3869396026635</v>
      </c>
    </row>
    <row r="78" spans="5:13" x14ac:dyDescent="0.2">
      <c r="F78" s="5">
        <f t="shared" si="12"/>
        <v>547.35477584106548</v>
      </c>
      <c r="G78" s="5">
        <f t="shared" si="12"/>
        <v>684.19346980133173</v>
      </c>
      <c r="H78" s="5">
        <f t="shared" si="12"/>
        <v>821.03216376159821</v>
      </c>
      <c r="I78" s="13">
        <f t="shared" si="12"/>
        <v>957.87085772186458</v>
      </c>
      <c r="J78" s="5">
        <f t="shared" si="12"/>
        <v>1094.709551682131</v>
      </c>
      <c r="K78" s="5">
        <f t="shared" si="12"/>
        <v>1231.5482456423972</v>
      </c>
      <c r="L78" s="5">
        <f t="shared" si="12"/>
        <v>1368.3869396026635</v>
      </c>
    </row>
    <row r="79" spans="5:13" x14ac:dyDescent="0.2">
      <c r="F79" s="13">
        <f t="shared" si="12"/>
        <v>547.35477584106548</v>
      </c>
      <c r="G79" s="13">
        <f t="shared" si="12"/>
        <v>684.19346980133173</v>
      </c>
      <c r="H79" s="13">
        <f t="shared" si="12"/>
        <v>821.03216376159821</v>
      </c>
      <c r="I79" s="13">
        <f t="shared" si="12"/>
        <v>957.87085772186458</v>
      </c>
      <c r="J79" s="5">
        <f t="shared" si="12"/>
        <v>1094.709551682131</v>
      </c>
      <c r="K79" s="5">
        <f t="shared" si="12"/>
        <v>1231.5482456423972</v>
      </c>
      <c r="L79" s="5">
        <f t="shared" si="12"/>
        <v>1368.3869396026635</v>
      </c>
    </row>
    <row r="80" spans="5:13" x14ac:dyDescent="0.2">
      <c r="F80" s="5">
        <f t="shared" si="12"/>
        <v>547.35477584106548</v>
      </c>
      <c r="G80" s="5">
        <f t="shared" si="12"/>
        <v>684.19346980133173</v>
      </c>
      <c r="H80" s="5">
        <f t="shared" si="12"/>
        <v>821.03216376159821</v>
      </c>
      <c r="I80" s="5">
        <f t="shared" si="12"/>
        <v>957.87085772186458</v>
      </c>
      <c r="J80" s="5">
        <f t="shared" si="12"/>
        <v>1094.709551682131</v>
      </c>
      <c r="K80" s="5">
        <f t="shared" si="12"/>
        <v>1231.5482456423972</v>
      </c>
      <c r="L80" s="5">
        <f t="shared" si="12"/>
        <v>1368.3869396026635</v>
      </c>
    </row>
    <row r="81" spans="6:13" ht="12.75" thickBot="1" x14ac:dyDescent="0.25">
      <c r="F81" s="21">
        <f t="shared" si="12"/>
        <v>547.35477584106548</v>
      </c>
      <c r="G81" s="21">
        <f t="shared" si="12"/>
        <v>684.19346980133173</v>
      </c>
      <c r="H81" s="21">
        <f t="shared" si="12"/>
        <v>821.03216376159821</v>
      </c>
      <c r="I81" s="21">
        <f t="shared" si="12"/>
        <v>957.87085772186458</v>
      </c>
      <c r="J81" s="21">
        <f t="shared" si="12"/>
        <v>1094.709551682131</v>
      </c>
      <c r="K81" s="21">
        <f t="shared" si="12"/>
        <v>1231.5482456423972</v>
      </c>
      <c r="L81" s="21">
        <f t="shared" si="12"/>
        <v>1368.3869396026635</v>
      </c>
    </row>
    <row r="82" spans="6:13" x14ac:dyDescent="0.2">
      <c r="M82" s="5"/>
    </row>
  </sheetData>
  <mergeCells count="3">
    <mergeCell ref="F6:L6"/>
    <mergeCell ref="B8:B14"/>
    <mergeCell ref="D8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Larrivée, Marc-Antoine</dc:creator>
  <cp:lastModifiedBy>Larrivée, Marc-Antoine</cp:lastModifiedBy>
  <dcterms:created xsi:type="dcterms:W3CDTF">2026-02-16T20:24:27Z</dcterms:created>
  <dcterms:modified xsi:type="dcterms:W3CDTF">2026-02-16T20:44:03Z</dcterms:modified>
</cp:coreProperties>
</file>